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carlosaristizabal/Desktop/SCRD/CONVENIOS /CONVENIO PEN /"/>
    </mc:Choice>
  </mc:AlternateContent>
  <xr:revisionPtr revIDLastSave="0" documentId="13_ncr:1_{06485617-0C59-954B-9CDF-3385CC43DE16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Análisis de costos final" sheetId="1" r:id="rId1"/>
    <sheet name="Hoja de trabajo" sheetId="2" r:id="rId2"/>
  </sheets>
  <definedNames>
    <definedName name="_xlnm.Print_Area" localSheetId="0">'Análisis de costos final'!$A:$M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6" roundtripDataChecksum="/mKPzTZG+iiBTiD3K/hrrGWydQVm09Qq45q5CRo1nWw="/>
    </ext>
  </extLst>
</workbook>
</file>

<file path=xl/calcChain.xml><?xml version="1.0" encoding="utf-8"?>
<calcChain xmlns="http://schemas.openxmlformats.org/spreadsheetml/2006/main">
  <c r="L38" i="2" l="1"/>
  <c r="I37" i="2"/>
  <c r="G36" i="2"/>
  <c r="G37" i="2" s="1"/>
  <c r="D36" i="2"/>
  <c r="E36" i="2" s="1"/>
  <c r="F36" i="2" s="1"/>
  <c r="H35" i="2"/>
  <c r="D35" i="2"/>
  <c r="E35" i="2" s="1"/>
  <c r="F35" i="2" s="1"/>
  <c r="J35" i="2" s="1"/>
  <c r="L35" i="2" s="1"/>
  <c r="H34" i="2"/>
  <c r="E34" i="2"/>
  <c r="F34" i="2" s="1"/>
  <c r="J34" i="2" s="1"/>
  <c r="L34" i="2" s="1"/>
  <c r="D34" i="2"/>
  <c r="D37" i="2" s="1"/>
  <c r="H33" i="2"/>
  <c r="E33" i="2"/>
  <c r="B33" i="2"/>
  <c r="C33" i="2" s="1"/>
  <c r="C37" i="2" s="1"/>
  <c r="K24" i="2"/>
  <c r="J23" i="2"/>
  <c r="G22" i="2"/>
  <c r="G23" i="2" s="1"/>
  <c r="H23" i="2" s="1"/>
  <c r="I23" i="2" s="1"/>
  <c r="E22" i="2"/>
  <c r="F22" i="2" s="1"/>
  <c r="D22" i="2"/>
  <c r="H21" i="2"/>
  <c r="E21" i="2"/>
  <c r="F21" i="2" s="1"/>
  <c r="I21" i="2" s="1"/>
  <c r="K21" i="2" s="1"/>
  <c r="D21" i="2"/>
  <c r="H20" i="2"/>
  <c r="E20" i="2"/>
  <c r="F20" i="2" s="1"/>
  <c r="I20" i="2" s="1"/>
  <c r="K20" i="2" s="1"/>
  <c r="D20" i="2"/>
  <c r="D23" i="2" s="1"/>
  <c r="H19" i="2"/>
  <c r="E19" i="2"/>
  <c r="F19" i="2" s="1"/>
  <c r="B19" i="2"/>
  <c r="B23" i="2" s="1"/>
  <c r="K11" i="2"/>
  <c r="J10" i="2"/>
  <c r="H10" i="2"/>
  <c r="I10" i="2" s="1"/>
  <c r="G10" i="2"/>
  <c r="H9" i="2"/>
  <c r="F9" i="2"/>
  <c r="I9" i="2" s="1"/>
  <c r="K9" i="2" s="1"/>
  <c r="E9" i="2"/>
  <c r="H8" i="2"/>
  <c r="E8" i="2"/>
  <c r="F8" i="2" s="1"/>
  <c r="I8" i="2" s="1"/>
  <c r="K8" i="2" s="1"/>
  <c r="D8" i="2"/>
  <c r="H7" i="2"/>
  <c r="E7" i="2"/>
  <c r="F7" i="2" s="1"/>
  <c r="I7" i="2" s="1"/>
  <c r="K7" i="2" s="1"/>
  <c r="D7" i="2"/>
  <c r="D10" i="2" s="1"/>
  <c r="H6" i="2"/>
  <c r="E6" i="2"/>
  <c r="E10" i="2" s="1"/>
  <c r="B6" i="2"/>
  <c r="C6" i="2" s="1"/>
  <c r="C10" i="2" s="1"/>
  <c r="L13" i="1"/>
  <c r="J13" i="1"/>
  <c r="I13" i="1"/>
  <c r="G13" i="1"/>
  <c r="E13" i="1"/>
  <c r="M12" i="1"/>
  <c r="K12" i="1"/>
  <c r="K11" i="1"/>
  <c r="M11" i="1" s="1"/>
  <c r="H11" i="1"/>
  <c r="F11" i="1"/>
  <c r="K10" i="1"/>
  <c r="M10" i="1" s="1"/>
  <c r="F10" i="1"/>
  <c r="K9" i="1"/>
  <c r="M9" i="1" s="1"/>
  <c r="F9" i="1"/>
  <c r="K8" i="1"/>
  <c r="K13" i="1" s="1"/>
  <c r="D8" i="1"/>
  <c r="E37" i="2" l="1"/>
  <c r="F23" i="2"/>
  <c r="I19" i="2"/>
  <c r="K19" i="2" s="1"/>
  <c r="M8" i="1"/>
  <c r="M13" i="1" s="1"/>
  <c r="B10" i="2"/>
  <c r="B37" i="2"/>
  <c r="C19" i="2"/>
  <c r="C23" i="2" s="1"/>
  <c r="E23" i="2"/>
  <c r="F33" i="2"/>
  <c r="H36" i="2"/>
  <c r="H37" i="2" s="1"/>
  <c r="F6" i="2"/>
  <c r="H22" i="2"/>
  <c r="I22" i="2" s="1"/>
  <c r="K22" i="2" s="1"/>
  <c r="J33" i="2" l="1"/>
  <c r="F37" i="2"/>
  <c r="K23" i="2"/>
  <c r="K25" i="2" s="1"/>
  <c r="J36" i="2"/>
  <c r="L36" i="2" s="1"/>
  <c r="I6" i="2"/>
  <c r="K6" i="2" s="1"/>
  <c r="K10" i="2" s="1"/>
  <c r="K12" i="2" s="1"/>
  <c r="F10" i="2"/>
  <c r="J37" i="2" l="1"/>
  <c r="L33" i="2"/>
  <c r="L37" i="2" s="1"/>
  <c r="L39" i="2" s="1"/>
</calcChain>
</file>

<file path=xl/sharedStrings.xml><?xml version="1.0" encoding="utf-8"?>
<sst xmlns="http://schemas.openxmlformats.org/spreadsheetml/2006/main" count="96" uniqueCount="54">
  <si>
    <t>ANÁLISIS Y CONSOLIDADO ESTUDIO DE COSTOS PARA CONVENIOS DE ASOCIACIÓN</t>
  </si>
  <si>
    <t>CÓDIGO</t>
  </si>
  <si>
    <t>FR- 01- PR-JUR-05</t>
  </si>
  <si>
    <t>VERSIÓN</t>
  </si>
  <si>
    <t>FECHA</t>
  </si>
  <si>
    <t>OBJETO A CONTRATAR: Aunar esfuerzos con la Secretaría Distrital de Cultura, Recreación y Deporte para la producción y presentación de acciones artísticas, performáticas y escenográficas asociadas a proyectos, laboratorios de co-creación o iniciativas adelantadas por la misma o en las que haga parte, en el marco de las transformaciones culturales del nivel local, barrial o ciudadano.</t>
  </si>
  <si>
    <t>Componentes</t>
  </si>
  <si>
    <t>CANTIDAD</t>
  </si>
  <si>
    <t>DESCRIPCIÓN</t>
  </si>
  <si>
    <t>COSTO UNITARIO
HISTÓRICO 1</t>
  </si>
  <si>
    <t>COSTO ACTUALIZADO A 2024</t>
  </si>
  <si>
    <t>COSTO UNITARIO
HISTÓRICO 2</t>
  </si>
  <si>
    <t>COSTO UNITARIO
HISTÓRICO  3</t>
  </si>
  <si>
    <t>COSTO UNITARIO
HISTÓRICO  4</t>
  </si>
  <si>
    <t>VALOR PROMEDIO  
A VR. 2024</t>
  </si>
  <si>
    <t>VALOR TOTAL COMPONENTE</t>
  </si>
  <si>
    <t>Componente Escenográfico</t>
  </si>
  <si>
    <t>38 Instalaciones, dispositivos o estructuras escenograficas</t>
  </si>
  <si>
    <t>Dentro de este macrocomponente se encuentran las intervenciones visuales y físicas en el entorno urbano, tales como instalaciones artísticas, murales, esculturas y decoraciones temáticas en espacios públicos. Estas acciones tienen como finalidad embellecer y transformar los lugares de la comunidad, creando atmósferas inspiradoras y significativas que promuevan el sentido de pertenencia y la apropiación del espacio por parte de los habitantes.</t>
  </si>
  <si>
    <t>Componente Performático</t>
  </si>
  <si>
    <t>102 acciones performaticas</t>
  </si>
  <si>
    <t>Este macrocomponente comprende las actividades artísticas en vivo que involucran la participación activa del público, como presentaciones teatrales, danzas callejeras, performances urbanos y espectáculos de música en espacios públicos. Estas acciones tienen como objetivo principal generar impacto visual y emocional, así como fomentar la interacción y reflexión de la comunidad sobre temas relevantes para el convenio, como la identidad cultural, la igualdad de género, la corresponsabilidad ambiental y la convivencia pacífica.</t>
  </si>
  <si>
    <t>Componente Narrativo</t>
  </si>
  <si>
    <t>4 piezas o contenidos</t>
  </si>
  <si>
    <t>En este macrocomponente se incluyen las estrategias de comunicación, difusión y sensibilización dirigidas a informar, educar y movilizar a la comunidad en torno a los valores y objetivos del convenio. Esto incluiye campañas de concientización, producciones audiovisuales y eventos de divulgación cultural. El propósito principal de estas acciones es construir y difundir narrativas positivas y transformadoras que promuevan el cambio social y la participación ciudadana.</t>
  </si>
  <si>
    <t>Componente Pedagogico (talleres y laboratorios</t>
  </si>
  <si>
    <t>10 Talleres y laboratorios</t>
  </si>
  <si>
    <t>Este macrocomponente se centra en la realización de actividades educativas y formativas, como talleres, seminarios, charlas y laboratorios de co-creación, orientados al desarrollo de habilidades, conocimientos y actitudes en la comunidad. Estas acciones pueden abordar temáticas diversas, desde el arte y la cultura ciudadana hasta el medio ambiente y la convivencia, y tienen como objetivo empoderar a los participantes, fomentar el trabajo en equipo y promover el aprendizaje experiencial y colaborativo como herramientas para el cambio social y el desarrollo comunitario.</t>
  </si>
  <si>
    <t>COSTO OPERATIVO</t>
  </si>
  <si>
    <t>Porcentaje de costos operativos</t>
  </si>
  <si>
    <t>NA</t>
  </si>
  <si>
    <r>
      <rPr>
        <b/>
        <sz val="11"/>
        <color theme="1"/>
        <rFont val="Calibri"/>
        <family val="2"/>
      </rPr>
      <t xml:space="preserve">Observaciones: 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 xml:space="preserve">COSTO HISTÓRICO 1: </t>
    </r>
    <r>
      <rPr>
        <sz val="11"/>
        <color theme="1"/>
        <rFont val="Calibri"/>
        <family val="2"/>
      </rPr>
      <t xml:space="preserve">SCRD-RECO-014-2023. Aunar recursos humanos, técnicos, logísticos, administrativos y financieros para llevar a cabo la estructuración y ejecución del proyecto artístico y cultural "Navidad es Cultura Local 2023" en el Distrito Capital, en el marco del Plan de Desarrollo "Un Nuevo Contrato Social y Ambiental para la Bogotá del siglo XXI" (Componente escenografico)
</t>
    </r>
    <r>
      <rPr>
        <b/>
        <sz val="11"/>
        <color theme="1"/>
        <rFont val="Calibri"/>
        <family val="2"/>
      </rPr>
      <t xml:space="preserve">COSTO HISTÓRICO 2: </t>
    </r>
    <r>
      <rPr>
        <sz val="11"/>
        <color theme="1"/>
        <rFont val="Calibri"/>
        <family val="2"/>
      </rPr>
      <t xml:space="preserve">Proceso competitivo-002-2022, FONDO MIXTO DE LA CULTURA Y LAS ARTES DEL DEPARTAMENTO DEL QUINDIO - Realizacion de actividades culturales, artisticas y festividades conmemorativas que propendan por el desarrollo cultural del Municipio de Calarca Q.
</t>
    </r>
    <r>
      <rPr>
        <b/>
        <sz val="11"/>
        <color theme="1"/>
        <rFont val="Calibri"/>
        <family val="2"/>
      </rPr>
      <t xml:space="preserve">COSTO HISTÓRICO 3: </t>
    </r>
    <r>
      <rPr>
        <sz val="11"/>
        <color theme="1"/>
        <rFont val="Calibri"/>
        <family val="2"/>
      </rPr>
      <t xml:space="preserve">CONTRATO N. 632 DE 2023 - No. SCRD-RECO-17-2023. - UNIVERSIDAD JORGE TADEO LOZANO - Aunar esfuerzos técnicos, presupuestales, humanos, logísticos y operativos para el Fortalecimiento a los Agentes del Sector de la Dirección de Fomento de la Secretaría de Cultura, Recreación y Deporte.
</t>
    </r>
    <r>
      <rPr>
        <b/>
        <sz val="11"/>
        <color theme="1"/>
        <rFont val="Calibri"/>
        <family val="2"/>
      </rPr>
      <t>COSTO HISTÓRICO 4</t>
    </r>
    <r>
      <rPr>
        <sz val="11"/>
        <color theme="1"/>
        <rFont val="Calibri"/>
        <family val="2"/>
      </rPr>
      <t xml:space="preserve">: CONVENIO N. 1 DE 2024 - INSTITUTO DE CULTURA Y TURISMO DEL SOCORRO SANTANDER - Aunar esfuerzos financieros, técnicos, administrativos y humanos para la organización, promoción y ejecución de actividades artísticas, culturales y emprendimiento en el marco del festival departamental del café a desarrollarse en el municipio de Socorro, Santander.
</t>
    </r>
    <r>
      <rPr>
        <b/>
        <sz val="11"/>
        <color theme="1"/>
        <rFont val="Calibri"/>
        <family val="2"/>
      </rPr>
      <t>IPC 2023:</t>
    </r>
    <r>
      <rPr>
        <sz val="11"/>
        <color theme="1"/>
        <rFont val="Calibri"/>
        <family val="2"/>
      </rPr>
      <t xml:space="preserve"> Variación anual 13,34% certificado por el DANE
</t>
    </r>
    <r>
      <rPr>
        <b/>
        <sz val="11"/>
        <color theme="1"/>
        <rFont val="Calibri"/>
        <family val="2"/>
      </rPr>
      <t>IPC 2024:</t>
    </r>
    <r>
      <rPr>
        <sz val="11"/>
        <color theme="1"/>
        <rFont val="Calibri"/>
        <family val="2"/>
      </rPr>
      <t xml:space="preserve"> Variación primer trimestre 7,36% certificado por el DANE
</t>
    </r>
    <r>
      <rPr>
        <b/>
        <sz val="11"/>
        <color theme="1"/>
        <rFont val="Calibri"/>
        <family val="2"/>
      </rPr>
      <t xml:space="preserve">COSTO OPERATIVO: </t>
    </r>
    <r>
      <rPr>
        <sz val="11"/>
        <color theme="1"/>
        <rFont val="Calibri"/>
        <family val="2"/>
      </rPr>
      <t xml:space="preserve">Se estima un 7% de gastos administrativos, como resultado del promedio de los porcentajes establecidos como costos operativos en las ofertas analizadas como valor histórico.
</t>
    </r>
  </si>
  <si>
    <t>NOTA 1: En el evento en que el análisis de costos se realice con base en precios históricos se deberá modificar la columna de cotizaciones por costos históricos e incorporar los años que se toman para hacer el análisis. Si los costos se toman incluyendo cotizaciones e históricos, se deberán incluir las columnas necesarias para señalar los costos</t>
  </si>
  <si>
    <t>JULIAN FELIPE DUARTE ÁLVAREZ</t>
  </si>
  <si>
    <t>Director de Transformaciones Culturales</t>
  </si>
  <si>
    <t>Subsecretaría de Cultura Ciudadana y Gestión del Conocimiento</t>
  </si>
  <si>
    <t>Proyectó: Carlos Aristizábal Gómez - contratista - Subsecretaría de Cultura Ciudadana y Gestión del Conocimiento</t>
  </si>
  <si>
    <t>Sandra Marcella Gomez Vivas - contratista - Subsecretaría de Cultura Ciudadana y Gestión del Conocimiento</t>
  </si>
  <si>
    <t>Oscar David Rodríguez Díaz - contratista - Subsecretaría de Cultura Ciudadana y Gestión del Conocimiento</t>
  </si>
  <si>
    <t>Santiago Duran Millan - contratista - SCCGC - Dirección de Transformaciones Culturales</t>
  </si>
  <si>
    <t>Revisó: Gisela Castrillón - contratista - Dirección Observatorio y Gestión del Conocimiento Cultural</t>
  </si>
  <si>
    <t>Ejercicio Inicial proyección precios 2024</t>
  </si>
  <si>
    <t>IPC 2023</t>
  </si>
  <si>
    <t>variación IPC 2024</t>
  </si>
  <si>
    <t>IPC 2022</t>
  </si>
  <si>
    <t>variación IPC 2023</t>
  </si>
  <si>
    <t>COSTO HISTÓRICO 1</t>
  </si>
  <si>
    <t>COSTO HISTÓRICO 2</t>
  </si>
  <si>
    <t>COSTO HISTÓRICO  3</t>
  </si>
  <si>
    <t>Promedio</t>
  </si>
  <si>
    <t>Total acciones</t>
  </si>
  <si>
    <t>Valor total</t>
  </si>
  <si>
    <t>Ejercicio verificado proyección de precios unitarios 2024</t>
  </si>
  <si>
    <t>Costo Historico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</si>
</sst>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25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7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434343"/>
      <name val="Calibri"/>
      <family val="2"/>
    </font>
    <font>
      <b/>
      <sz val="11"/>
      <color rgb="FF434343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0000FF"/>
      <name val="Calibri"/>
      <family val="2"/>
    </font>
    <font>
      <b/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3" borderId="4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14" fillId="4" borderId="4" xfId="0" applyNumberFormat="1" applyFont="1" applyFill="1" applyBorder="1" applyAlignment="1">
      <alignment horizontal="center" vertical="center"/>
    </xf>
    <xf numFmtId="3" fontId="14" fillId="4" borderId="4" xfId="0" applyNumberFormat="1" applyFont="1" applyFill="1" applyBorder="1" applyAlignment="1">
      <alignment vertical="center"/>
    </xf>
    <xf numFmtId="0" fontId="15" fillId="2" borderId="0" xfId="0" applyFont="1" applyFill="1" applyAlignment="1">
      <alignment horizontal="left"/>
    </xf>
    <xf numFmtId="0" fontId="10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3" fontId="7" fillId="0" borderId="0" xfId="0" applyNumberFormat="1" applyFont="1" applyAlignment="1">
      <alignment vertical="center"/>
    </xf>
    <xf numFmtId="3" fontId="16" fillId="0" borderId="4" xfId="0" applyNumberFormat="1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9" fontId="14" fillId="4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18" fillId="0" borderId="0" xfId="0" applyFont="1"/>
    <xf numFmtId="0" fontId="13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10" fillId="5" borderId="4" xfId="0" applyFont="1" applyFill="1" applyBorder="1" applyAlignment="1">
      <alignment horizontal="center" vertical="center" wrapText="1"/>
    </xf>
    <xf numFmtId="3" fontId="13" fillId="5" borderId="4" xfId="0" applyNumberFormat="1" applyFont="1" applyFill="1" applyBorder="1" applyAlignment="1">
      <alignment vertical="center"/>
    </xf>
    <xf numFmtId="3" fontId="7" fillId="5" borderId="4" xfId="0" applyNumberFormat="1" applyFont="1" applyFill="1" applyBorder="1" applyAlignment="1">
      <alignment vertical="center"/>
    </xf>
    <xf numFmtId="0" fontId="5" fillId="5" borderId="4" xfId="0" applyFont="1" applyFill="1" applyBorder="1"/>
    <xf numFmtId="0" fontId="5" fillId="0" borderId="4" xfId="0" applyFont="1" applyBorder="1"/>
    <xf numFmtId="3" fontId="22" fillId="0" borderId="0" xfId="0" applyNumberFormat="1" applyFont="1"/>
    <xf numFmtId="0" fontId="8" fillId="2" borderId="0" xfId="0" applyFont="1" applyFill="1"/>
    <xf numFmtId="0" fontId="5" fillId="2" borderId="0" xfId="0" applyFont="1" applyFill="1"/>
    <xf numFmtId="0" fontId="8" fillId="6" borderId="0" xfId="0" applyFont="1" applyFill="1"/>
    <xf numFmtId="0" fontId="13" fillId="6" borderId="0" xfId="0" applyFont="1" applyFill="1"/>
    <xf numFmtId="0" fontId="13" fillId="0" borderId="0" xfId="0" applyFont="1"/>
    <xf numFmtId="0" fontId="13" fillId="0" borderId="16" xfId="0" applyFont="1" applyBorder="1"/>
    <xf numFmtId="0" fontId="13" fillId="0" borderId="16" xfId="0" applyFont="1" applyBorder="1" applyAlignment="1">
      <alignment horizontal="right"/>
    </xf>
    <xf numFmtId="0" fontId="7" fillId="0" borderId="13" xfId="0" applyFont="1" applyBorder="1" applyAlignment="1">
      <alignment horizontal="center"/>
    </xf>
    <xf numFmtId="0" fontId="7" fillId="0" borderId="4" xfId="0" applyFont="1" applyBorder="1"/>
    <xf numFmtId="0" fontId="7" fillId="0" borderId="14" xfId="0" applyFont="1" applyBorder="1"/>
    <xf numFmtId="0" fontId="7" fillId="0" borderId="14" xfId="0" applyFont="1" applyBorder="1" applyAlignment="1">
      <alignment horizontal="center"/>
    </xf>
    <xf numFmtId="0" fontId="10" fillId="5" borderId="13" xfId="0" applyFont="1" applyFill="1" applyBorder="1" applyAlignment="1">
      <alignment horizontal="center" wrapText="1"/>
    </xf>
    <xf numFmtId="3" fontId="13" fillId="0" borderId="14" xfId="0" applyNumberFormat="1" applyFont="1" applyBorder="1" applyAlignment="1">
      <alignment horizontal="right"/>
    </xf>
    <xf numFmtId="3" fontId="13" fillId="5" borderId="14" xfId="0" applyNumberFormat="1" applyFont="1" applyFill="1" applyBorder="1" applyAlignment="1">
      <alignment horizontal="right"/>
    </xf>
    <xf numFmtId="3" fontId="7" fillId="5" borderId="14" xfId="0" applyNumberFormat="1" applyFont="1" applyFill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13" fillId="0" borderId="14" xfId="0" applyFont="1" applyBorder="1"/>
    <xf numFmtId="3" fontId="23" fillId="5" borderId="14" xfId="0" applyNumberFormat="1" applyFont="1" applyFill="1" applyBorder="1" applyAlignment="1">
      <alignment horizontal="right"/>
    </xf>
    <xf numFmtId="0" fontId="13" fillId="5" borderId="14" xfId="0" applyFont="1" applyFill="1" applyBorder="1"/>
    <xf numFmtId="0" fontId="13" fillId="0" borderId="13" xfId="0" applyFont="1" applyBorder="1"/>
    <xf numFmtId="3" fontId="7" fillId="0" borderId="14" xfId="0" applyNumberFormat="1" applyFont="1" applyBorder="1" applyAlignment="1">
      <alignment horizontal="right"/>
    </xf>
    <xf numFmtId="3" fontId="24" fillId="0" borderId="0" xfId="0" applyNumberFormat="1" applyFont="1" applyAlignment="1">
      <alignment horizontal="right"/>
    </xf>
    <xf numFmtId="0" fontId="13" fillId="0" borderId="15" xfId="0" applyFont="1" applyBorder="1" applyAlignment="1">
      <alignment horizontal="left" vertical="center"/>
    </xf>
    <xf numFmtId="0" fontId="0" fillId="0" borderId="0" xfId="0"/>
    <xf numFmtId="0" fontId="13" fillId="2" borderId="5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6" xfId="0" applyFont="1" applyBorder="1"/>
    <xf numFmtId="0" fontId="1" fillId="0" borderId="1" xfId="0" applyFont="1" applyBorder="1" applyAlignment="1">
      <alignment horizontal="center" vertical="center"/>
    </xf>
    <xf numFmtId="0" fontId="3" fillId="0" borderId="7" xfId="0" applyFont="1" applyBorder="1"/>
    <xf numFmtId="0" fontId="3" fillId="0" borderId="9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21" fillId="0" borderId="16" xfId="0" applyFont="1" applyBorder="1" applyAlignment="1">
      <alignment horizontal="center"/>
    </xf>
    <xf numFmtId="0" fontId="3" fillId="0" borderId="16" xfId="0" applyFont="1" applyBorder="1"/>
    <xf numFmtId="0" fontId="3" fillId="0" borderId="14" xfId="0" applyFont="1" applyBorder="1"/>
    <xf numFmtId="0" fontId="21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57150</xdr:rowOff>
    </xdr:from>
    <xdr:ext cx="723900" cy="5905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790575</xdr:colOff>
      <xdr:row>41</xdr:row>
      <xdr:rowOff>161925</xdr:rowOff>
    </xdr:from>
    <xdr:ext cx="4724400" cy="2514600"/>
    <xdr:pic>
      <xdr:nvPicPr>
        <xdr:cNvPr id="2" name="image2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I30"/>
  <sheetViews>
    <sheetView tabSelected="1" workbookViewId="0">
      <selection sqref="A1:M1048576"/>
    </sheetView>
  </sheetViews>
  <sheetFormatPr baseColWidth="10" defaultColWidth="14.5" defaultRowHeight="15" customHeight="1" x14ac:dyDescent="0.2"/>
  <cols>
    <col min="2" max="2" width="16.1640625" customWidth="1"/>
    <col min="3" max="3" width="40.5" customWidth="1"/>
    <col min="4" max="10" width="10.33203125" customWidth="1"/>
    <col min="11" max="11" width="11.33203125" customWidth="1"/>
    <col min="12" max="12" width="10.33203125" customWidth="1"/>
    <col min="13" max="13" width="14.1640625" customWidth="1"/>
  </cols>
  <sheetData>
    <row r="1" spans="1:35" ht="27" customHeight="1" x14ac:dyDescent="0.2">
      <c r="A1" s="74"/>
      <c r="B1" s="77" t="s">
        <v>0</v>
      </c>
      <c r="C1" s="78"/>
      <c r="D1" s="78"/>
      <c r="E1" s="78"/>
      <c r="F1" s="78"/>
      <c r="G1" s="78"/>
      <c r="H1" s="78"/>
      <c r="I1" s="78"/>
      <c r="J1" s="1"/>
      <c r="K1" s="2" t="s">
        <v>1</v>
      </c>
      <c r="L1" s="82" t="s">
        <v>2</v>
      </c>
      <c r="M1" s="73"/>
      <c r="AF1" s="3"/>
      <c r="AG1" s="3"/>
      <c r="AH1" s="3"/>
      <c r="AI1" s="3"/>
    </row>
    <row r="2" spans="1:35" ht="15" customHeight="1" x14ac:dyDescent="0.2">
      <c r="A2" s="75"/>
      <c r="B2" s="79"/>
      <c r="C2" s="70"/>
      <c r="D2" s="70"/>
      <c r="E2" s="70"/>
      <c r="F2" s="70"/>
      <c r="G2" s="70"/>
      <c r="H2" s="70"/>
      <c r="I2" s="70"/>
      <c r="J2" s="1"/>
      <c r="K2" s="2" t="s">
        <v>3</v>
      </c>
      <c r="L2" s="83">
        <v>1</v>
      </c>
      <c r="M2" s="73"/>
      <c r="AF2" s="3"/>
      <c r="AG2" s="3"/>
      <c r="AH2" s="3"/>
      <c r="AI2" s="3"/>
    </row>
    <row r="3" spans="1:35" ht="15" customHeight="1" x14ac:dyDescent="0.2">
      <c r="A3" s="76"/>
      <c r="B3" s="80"/>
      <c r="C3" s="81"/>
      <c r="D3" s="81"/>
      <c r="E3" s="81"/>
      <c r="F3" s="81"/>
      <c r="G3" s="81"/>
      <c r="H3" s="81"/>
      <c r="I3" s="81"/>
      <c r="J3" s="1"/>
      <c r="K3" s="2" t="s">
        <v>4</v>
      </c>
      <c r="L3" s="84">
        <v>43651</v>
      </c>
      <c r="M3" s="73"/>
      <c r="AF3" s="3"/>
      <c r="AG3" s="3"/>
      <c r="AH3" s="3"/>
      <c r="AI3" s="3"/>
    </row>
    <row r="4" spans="1:3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35" ht="54.75" customHeight="1" x14ac:dyDescent="0.2">
      <c r="A5" s="85" t="s">
        <v>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3"/>
      <c r="N5" s="3"/>
      <c r="O5" s="3"/>
      <c r="P5" s="3"/>
    </row>
    <row r="6" spans="1:3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35" ht="33" x14ac:dyDescent="0.2">
      <c r="A7" s="4" t="s">
        <v>6</v>
      </c>
      <c r="B7" s="5" t="s">
        <v>7</v>
      </c>
      <c r="C7" s="4" t="s">
        <v>8</v>
      </c>
      <c r="D7" s="6" t="s">
        <v>9</v>
      </c>
      <c r="E7" s="7" t="s">
        <v>10</v>
      </c>
      <c r="F7" s="6" t="s">
        <v>11</v>
      </c>
      <c r="G7" s="7" t="s">
        <v>10</v>
      </c>
      <c r="H7" s="6" t="s">
        <v>12</v>
      </c>
      <c r="I7" s="7" t="s">
        <v>10</v>
      </c>
      <c r="J7" s="6" t="s">
        <v>13</v>
      </c>
      <c r="K7" s="6" t="s">
        <v>14</v>
      </c>
      <c r="L7" s="8" t="s">
        <v>7</v>
      </c>
      <c r="M7" s="8" t="s">
        <v>15</v>
      </c>
      <c r="N7" s="9"/>
      <c r="O7" s="3"/>
      <c r="P7" s="3"/>
    </row>
    <row r="8" spans="1:35" ht="135" x14ac:dyDescent="0.2">
      <c r="A8" s="10" t="s">
        <v>16</v>
      </c>
      <c r="B8" s="11" t="s">
        <v>17</v>
      </c>
      <c r="C8" s="12" t="s">
        <v>18</v>
      </c>
      <c r="D8" s="13">
        <f>27306664</f>
        <v>27306664</v>
      </c>
      <c r="E8" s="14">
        <v>29316434.470400002</v>
      </c>
      <c r="F8" s="13">
        <v>4200000</v>
      </c>
      <c r="G8" s="14">
        <v>5110636.608</v>
      </c>
      <c r="H8" s="13">
        <v>18000000</v>
      </c>
      <c r="I8" s="14">
        <v>19324800</v>
      </c>
      <c r="J8" s="14"/>
      <c r="K8" s="14">
        <f>(E8+G8+I8)/3</f>
        <v>17917290.359466668</v>
      </c>
      <c r="L8" s="15">
        <v>38</v>
      </c>
      <c r="M8" s="16">
        <f t="shared" ref="M8:M11" si="0">K8*L8</f>
        <v>680857033.65973341</v>
      </c>
      <c r="N8" s="17"/>
      <c r="O8" s="3"/>
      <c r="P8" s="3"/>
    </row>
    <row r="9" spans="1:35" ht="150" x14ac:dyDescent="0.2">
      <c r="A9" s="18" t="s">
        <v>19</v>
      </c>
      <c r="B9" s="19" t="s">
        <v>20</v>
      </c>
      <c r="C9" s="20" t="s">
        <v>21</v>
      </c>
      <c r="D9" s="13"/>
      <c r="E9" s="21"/>
      <c r="F9" s="13">
        <f>(4700000+2350000)/2</f>
        <v>3525000</v>
      </c>
      <c r="G9" s="14">
        <v>4289284.2960000001</v>
      </c>
      <c r="H9" s="22"/>
      <c r="I9" s="23"/>
      <c r="J9" s="14">
        <v>10000000</v>
      </c>
      <c r="K9" s="14">
        <f>(G9+J9)/2</f>
        <v>7144642.148</v>
      </c>
      <c r="L9" s="15">
        <v>102</v>
      </c>
      <c r="M9" s="16">
        <f t="shared" si="0"/>
        <v>728753499.09599996</v>
      </c>
      <c r="N9" s="3"/>
      <c r="O9" s="3"/>
      <c r="P9" s="3"/>
    </row>
    <row r="10" spans="1:35" ht="135" x14ac:dyDescent="0.2">
      <c r="A10" s="18" t="s">
        <v>22</v>
      </c>
      <c r="B10" s="19" t="s">
        <v>23</v>
      </c>
      <c r="C10" s="20" t="s">
        <v>24</v>
      </c>
      <c r="D10" s="24"/>
      <c r="E10" s="14"/>
      <c r="F10" s="13">
        <f>(3450000+3700000)/2</f>
        <v>3575000</v>
      </c>
      <c r="G10" s="14">
        <v>4350125.2079999996</v>
      </c>
      <c r="H10" s="13">
        <v>12000000</v>
      </c>
      <c r="I10" s="14">
        <v>12883200</v>
      </c>
      <c r="J10" s="23"/>
      <c r="K10" s="14">
        <f t="shared" ref="K10:K11" si="1">(G10+I10)/2</f>
        <v>8616662.6040000003</v>
      </c>
      <c r="L10" s="15">
        <v>4</v>
      </c>
      <c r="M10" s="16">
        <f t="shared" si="0"/>
        <v>34466650.416000001</v>
      </c>
      <c r="N10" s="3"/>
      <c r="O10" s="3"/>
      <c r="P10" s="3"/>
    </row>
    <row r="11" spans="1:35" ht="165" x14ac:dyDescent="0.2">
      <c r="A11" s="18" t="s">
        <v>25</v>
      </c>
      <c r="B11" s="19" t="s">
        <v>26</v>
      </c>
      <c r="C11" s="20" t="s">
        <v>27</v>
      </c>
      <c r="D11" s="24"/>
      <c r="E11" s="14"/>
      <c r="F11" s="13">
        <f>11000000/4</f>
        <v>2750000</v>
      </c>
      <c r="G11" s="14">
        <v>3346250.16</v>
      </c>
      <c r="H11" s="13">
        <f>6000000/4</f>
        <v>1500000</v>
      </c>
      <c r="I11" s="14">
        <v>1610400</v>
      </c>
      <c r="J11" s="14"/>
      <c r="K11" s="14">
        <f t="shared" si="1"/>
        <v>2478325.08</v>
      </c>
      <c r="L11" s="15">
        <v>10</v>
      </c>
      <c r="M11" s="16">
        <f t="shared" si="0"/>
        <v>24783250.800000001</v>
      </c>
      <c r="N11" s="3"/>
      <c r="O11" s="3"/>
      <c r="P11" s="3"/>
    </row>
    <row r="12" spans="1:35" ht="34" x14ac:dyDescent="0.2">
      <c r="A12" s="18" t="s">
        <v>28</v>
      </c>
      <c r="B12" s="25"/>
      <c r="C12" s="25" t="s">
        <v>29</v>
      </c>
      <c r="D12" s="24">
        <v>4</v>
      </c>
      <c r="E12" s="14"/>
      <c r="F12" s="13" t="s">
        <v>30</v>
      </c>
      <c r="G12" s="14"/>
      <c r="H12" s="24">
        <v>10</v>
      </c>
      <c r="I12" s="14"/>
      <c r="J12" s="13" t="s">
        <v>30</v>
      </c>
      <c r="K12" s="14">
        <f>(D12+H12)/2</f>
        <v>7</v>
      </c>
      <c r="L12" s="26">
        <v>7.0000000000000007E-2</v>
      </c>
      <c r="M12" s="16">
        <f>1580000000*7%</f>
        <v>110600000.00000001</v>
      </c>
      <c r="N12" s="27"/>
      <c r="O12" s="9"/>
      <c r="P12" s="9"/>
    </row>
    <row r="13" spans="1:35" ht="22" customHeight="1" x14ac:dyDescent="0.2">
      <c r="A13" s="27"/>
      <c r="B13" s="27"/>
      <c r="C13" s="27"/>
      <c r="D13" s="13"/>
      <c r="E13" s="14">
        <f>SUM(E8:E11)</f>
        <v>29316434.470400002</v>
      </c>
      <c r="F13" s="13"/>
      <c r="G13" s="14">
        <f>SUM(G8:G11)</f>
        <v>17096296.272</v>
      </c>
      <c r="H13" s="13"/>
      <c r="I13" s="14">
        <f t="shared" ref="I13:K13" si="2">SUM(I8:I11)</f>
        <v>33818400</v>
      </c>
      <c r="J13" s="14">
        <f t="shared" si="2"/>
        <v>10000000</v>
      </c>
      <c r="K13" s="14">
        <f t="shared" si="2"/>
        <v>36156920.191466667</v>
      </c>
      <c r="L13" s="15">
        <f t="shared" ref="L13:M13" si="3">SUM(L8:L12)</f>
        <v>154.07</v>
      </c>
      <c r="M13" s="16">
        <f t="shared" si="3"/>
        <v>1579460433.9717333</v>
      </c>
      <c r="N13" s="27"/>
      <c r="O13" s="9"/>
      <c r="P13" s="9"/>
    </row>
    <row r="14" spans="1:35" ht="22" customHeight="1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9"/>
      <c r="M14" s="29"/>
      <c r="N14" s="3"/>
      <c r="O14" s="3"/>
    </row>
    <row r="15" spans="1:35" ht="285" customHeight="1" x14ac:dyDescent="0.2">
      <c r="A15" s="91" t="s">
        <v>31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3"/>
      <c r="N15" s="3"/>
      <c r="O15" s="3"/>
    </row>
    <row r="16" spans="1:35" ht="12.75" customHeight="1" x14ac:dyDescent="0.2">
      <c r="A16" s="69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3"/>
      <c r="O16" s="3"/>
    </row>
    <row r="17" spans="1:16" x14ac:dyDescent="0.2">
      <c r="A17" s="71" t="s">
        <v>32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3"/>
      <c r="N17" s="3"/>
      <c r="O17" s="30"/>
    </row>
    <row r="18" spans="1:16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0"/>
    </row>
    <row r="19" spans="1:16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0"/>
    </row>
    <row r="20" spans="1:16" ht="16" x14ac:dyDescent="0.2">
      <c r="A20" s="31" t="s">
        <v>33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"/>
      <c r="P20" s="3"/>
    </row>
    <row r="21" spans="1:16" ht="16" x14ac:dyDescent="0.2">
      <c r="A21" s="33" t="s">
        <v>34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"/>
      <c r="P21" s="3"/>
    </row>
    <row r="22" spans="1:16" ht="16" x14ac:dyDescent="0.2">
      <c r="A22" s="33" t="s">
        <v>35</v>
      </c>
    </row>
    <row r="23" spans="1:16" ht="16" x14ac:dyDescent="0.2">
      <c r="A23" s="33"/>
    </row>
    <row r="24" spans="1:16" x14ac:dyDescent="0.2">
      <c r="A24" s="34" t="s">
        <v>36</v>
      </c>
    </row>
    <row r="25" spans="1:16" x14ac:dyDescent="0.2">
      <c r="A25" s="34" t="s">
        <v>37</v>
      </c>
    </row>
    <row r="26" spans="1:16" x14ac:dyDescent="0.2">
      <c r="A26" s="34" t="s">
        <v>38</v>
      </c>
    </row>
    <row r="27" spans="1:16" x14ac:dyDescent="0.2">
      <c r="A27" s="34" t="s">
        <v>39</v>
      </c>
    </row>
    <row r="28" spans="1:16" x14ac:dyDescent="0.2">
      <c r="A28" s="34" t="s">
        <v>40</v>
      </c>
    </row>
    <row r="29" spans="1:16" x14ac:dyDescent="0.2">
      <c r="A29" s="34"/>
    </row>
    <row r="30" spans="1:16" x14ac:dyDescent="0.2">
      <c r="A30" s="34"/>
    </row>
  </sheetData>
  <mergeCells count="9">
    <mergeCell ref="A16:M16"/>
    <mergeCell ref="A17:M17"/>
    <mergeCell ref="A1:A3"/>
    <mergeCell ref="B1:I3"/>
    <mergeCell ref="L1:M1"/>
    <mergeCell ref="L2:M2"/>
    <mergeCell ref="L3:M3"/>
    <mergeCell ref="A5:M5"/>
    <mergeCell ref="A15:M15"/>
  </mergeCells>
  <pageMargins left="0.25" right="0.25" top="0.75" bottom="0.75" header="0.3" footer="0.3"/>
  <pageSetup scale="53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L41"/>
  <sheetViews>
    <sheetView topLeftCell="A26" workbookViewId="0"/>
  </sheetViews>
  <sheetFormatPr baseColWidth="10" defaultColWidth="14.5" defaultRowHeight="15" customHeight="1" x14ac:dyDescent="0.2"/>
  <cols>
    <col min="2" max="2" width="13.6640625" customWidth="1"/>
    <col min="3" max="3" width="16.6640625" customWidth="1"/>
    <col min="4" max="4" width="13.6640625" customWidth="1"/>
    <col min="5" max="6" width="16.6640625" customWidth="1"/>
    <col min="7" max="7" width="14.1640625" customWidth="1"/>
    <col min="8" max="8" width="13.5" customWidth="1"/>
    <col min="9" max="9" width="15.5" customWidth="1"/>
    <col min="10" max="10" width="13.33203125" customWidth="1"/>
    <col min="11" max="11" width="13.5" customWidth="1"/>
  </cols>
  <sheetData>
    <row r="1" spans="1:11" hidden="1" x14ac:dyDescent="0.2">
      <c r="B1" s="35"/>
      <c r="C1" s="35"/>
      <c r="D1" s="35"/>
      <c r="E1" s="35"/>
      <c r="F1" s="35"/>
      <c r="H1" s="35"/>
    </row>
    <row r="2" spans="1:11" hidden="1" x14ac:dyDescent="0.2">
      <c r="A2" s="35" t="s">
        <v>41</v>
      </c>
      <c r="B2" s="35"/>
      <c r="C2" s="35"/>
      <c r="D2" s="35"/>
      <c r="E2" s="35"/>
      <c r="F2" s="35"/>
      <c r="H2" s="35"/>
    </row>
    <row r="3" spans="1:11" hidden="1" x14ac:dyDescent="0.2">
      <c r="B3" s="35" t="s">
        <v>42</v>
      </c>
      <c r="C3" s="35" t="s">
        <v>43</v>
      </c>
      <c r="D3" s="35" t="s">
        <v>44</v>
      </c>
      <c r="E3" s="35" t="s">
        <v>45</v>
      </c>
      <c r="F3" s="35" t="s">
        <v>43</v>
      </c>
      <c r="H3" s="35" t="s">
        <v>43</v>
      </c>
    </row>
    <row r="4" spans="1:11" hidden="1" x14ac:dyDescent="0.2">
      <c r="A4" s="36"/>
      <c r="B4" s="35">
        <v>13.34</v>
      </c>
      <c r="C4" s="35">
        <v>7.36</v>
      </c>
      <c r="D4" s="37">
        <v>13.12</v>
      </c>
      <c r="E4" s="35">
        <v>13.34</v>
      </c>
      <c r="F4" s="35">
        <v>7.36</v>
      </c>
      <c r="H4" s="35">
        <v>7.36</v>
      </c>
    </row>
    <row r="5" spans="1:11" hidden="1" x14ac:dyDescent="0.2">
      <c r="A5" s="38" t="s">
        <v>6</v>
      </c>
      <c r="B5" s="90" t="s">
        <v>46</v>
      </c>
      <c r="C5" s="73"/>
      <c r="D5" s="90" t="s">
        <v>47</v>
      </c>
      <c r="E5" s="72"/>
      <c r="F5" s="73"/>
      <c r="G5" s="90" t="s">
        <v>48</v>
      </c>
      <c r="H5" s="73"/>
      <c r="I5" s="39" t="s">
        <v>49</v>
      </c>
      <c r="J5" s="39" t="s">
        <v>50</v>
      </c>
      <c r="K5" s="40" t="s">
        <v>51</v>
      </c>
    </row>
    <row r="6" spans="1:11" ht="34" hidden="1" x14ac:dyDescent="0.2">
      <c r="A6" s="41" t="s">
        <v>16</v>
      </c>
      <c r="B6" s="13">
        <f>27306664</f>
        <v>27306664</v>
      </c>
      <c r="C6" s="42">
        <f>B6+(B6*$C$4/100)</f>
        <v>29316434.470400002</v>
      </c>
      <c r="D6" s="13">
        <v>4200000</v>
      </c>
      <c r="E6" s="13">
        <f t="shared" ref="E6:E9" si="0">D6*($E$4/$D$4)</f>
        <v>4270426.8292682925</v>
      </c>
      <c r="F6" s="42">
        <f t="shared" ref="F6:F9" si="1">E6+(E6*$F$4/100)</f>
        <v>4584730.2439024393</v>
      </c>
      <c r="G6" s="13">
        <v>18000000</v>
      </c>
      <c r="H6" s="42">
        <f t="shared" ref="H6:H9" si="2">G6+(G6*$H$4/100)</f>
        <v>19324800</v>
      </c>
      <c r="I6" s="43">
        <f>(F6+C6+H6)/3</f>
        <v>17741988.238100816</v>
      </c>
      <c r="J6" s="39">
        <v>40</v>
      </c>
      <c r="K6" s="13">
        <f t="shared" ref="K6:K9" si="3">I6*J6</f>
        <v>709679529.52403259</v>
      </c>
    </row>
    <row r="7" spans="1:11" ht="34" hidden="1" x14ac:dyDescent="0.2">
      <c r="A7" s="41" t="s">
        <v>19</v>
      </c>
      <c r="B7" s="24"/>
      <c r="C7" s="44"/>
      <c r="D7" s="13">
        <f>4700000+2350000</f>
        <v>7050000</v>
      </c>
      <c r="E7" s="13">
        <f t="shared" si="0"/>
        <v>7168216.4634146346</v>
      </c>
      <c r="F7" s="42">
        <f t="shared" si="1"/>
        <v>7695797.1951219514</v>
      </c>
      <c r="G7" s="13">
        <v>8800000</v>
      </c>
      <c r="H7" s="42">
        <f t="shared" si="2"/>
        <v>9447680</v>
      </c>
      <c r="I7" s="43">
        <f>((F7/2)+H7)/2</f>
        <v>6647789.2987804879</v>
      </c>
      <c r="J7" s="39">
        <v>90</v>
      </c>
      <c r="K7" s="13">
        <f t="shared" si="3"/>
        <v>598301036.89024389</v>
      </c>
    </row>
    <row r="8" spans="1:11" ht="34" hidden="1" x14ac:dyDescent="0.2">
      <c r="A8" s="41" t="s">
        <v>22</v>
      </c>
      <c r="B8" s="24"/>
      <c r="C8" s="44"/>
      <c r="D8" s="13">
        <f>3450000+3700000</f>
        <v>7150000</v>
      </c>
      <c r="E8" s="13">
        <f t="shared" si="0"/>
        <v>7269893.2926829271</v>
      </c>
      <c r="F8" s="42">
        <f t="shared" si="1"/>
        <v>7804957.4390243907</v>
      </c>
      <c r="G8" s="13">
        <v>24000000</v>
      </c>
      <c r="H8" s="42">
        <f t="shared" si="2"/>
        <v>25766400</v>
      </c>
      <c r="I8" s="43">
        <f>(F8+H8)/2</f>
        <v>16785678.719512194</v>
      </c>
      <c r="J8" s="39">
        <v>4</v>
      </c>
      <c r="K8" s="13">
        <f t="shared" si="3"/>
        <v>67142714.878048778</v>
      </c>
    </row>
    <row r="9" spans="1:11" ht="68" hidden="1" x14ac:dyDescent="0.2">
      <c r="A9" s="41" t="s">
        <v>25</v>
      </c>
      <c r="B9" s="24"/>
      <c r="C9" s="44"/>
      <c r="D9" s="13">
        <v>11000000</v>
      </c>
      <c r="E9" s="13">
        <f t="shared" si="0"/>
        <v>11184451.219512196</v>
      </c>
      <c r="F9" s="42">
        <f t="shared" si="1"/>
        <v>12007626.829268293</v>
      </c>
      <c r="G9" s="13">
        <v>6000000</v>
      </c>
      <c r="H9" s="42">
        <f t="shared" si="2"/>
        <v>6441600</v>
      </c>
      <c r="I9" s="43">
        <f>((F9/4)+(H9/4))/2</f>
        <v>2306153.3536585364</v>
      </c>
      <c r="J9" s="39">
        <v>12</v>
      </c>
      <c r="K9" s="13">
        <f t="shared" si="3"/>
        <v>27673840.243902437</v>
      </c>
    </row>
    <row r="10" spans="1:11" hidden="1" x14ac:dyDescent="0.2">
      <c r="A10" s="25"/>
      <c r="B10" s="14">
        <f t="shared" ref="B10:G10" si="4">SUM(B6:B9)</f>
        <v>27306664</v>
      </c>
      <c r="C10" s="43">
        <f t="shared" si="4"/>
        <v>29316434.470400002</v>
      </c>
      <c r="D10" s="14">
        <f t="shared" si="4"/>
        <v>29400000</v>
      </c>
      <c r="E10" s="14">
        <f t="shared" si="4"/>
        <v>29892987.804878049</v>
      </c>
      <c r="F10" s="43">
        <f t="shared" si="4"/>
        <v>32093111.707317077</v>
      </c>
      <c r="G10" s="14">
        <f t="shared" si="4"/>
        <v>56800000</v>
      </c>
      <c r="H10" s="42">
        <f t="shared" ref="H10:I10" si="5">G10+(G10*$C$4/100)</f>
        <v>60980480</v>
      </c>
      <c r="I10" s="43">
        <f t="shared" si="5"/>
        <v>65468643.328000002</v>
      </c>
      <c r="J10" s="14">
        <f t="shared" ref="J10:K10" si="6">SUM(J6:J9)</f>
        <v>146</v>
      </c>
      <c r="K10" s="14">
        <f t="shared" si="6"/>
        <v>1402797121.5362279</v>
      </c>
    </row>
    <row r="11" spans="1:11" hidden="1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14">
        <f>1580000000</f>
        <v>1580000000</v>
      </c>
    </row>
    <row r="12" spans="1:11" hidden="1" x14ac:dyDescent="0.2">
      <c r="K12" s="46">
        <f>K11-K10</f>
        <v>177202878.46377206</v>
      </c>
    </row>
    <row r="13" spans="1:11" hidden="1" x14ac:dyDescent="0.2"/>
    <row r="14" spans="1:11" hidden="1" x14ac:dyDescent="0.2"/>
    <row r="15" spans="1:11" hidden="1" x14ac:dyDescent="0.2">
      <c r="A15" s="47" t="s">
        <v>52</v>
      </c>
      <c r="B15" s="48"/>
      <c r="C15" s="48"/>
      <c r="D15" s="48"/>
    </row>
    <row r="16" spans="1:11" hidden="1" x14ac:dyDescent="0.2">
      <c r="C16" s="35" t="s">
        <v>43</v>
      </c>
      <c r="E16" s="35" t="s">
        <v>42</v>
      </c>
      <c r="F16" s="35" t="s">
        <v>43</v>
      </c>
      <c r="H16" s="35" t="s">
        <v>43</v>
      </c>
    </row>
    <row r="17" spans="1:12" hidden="1" x14ac:dyDescent="0.2">
      <c r="A17" s="36"/>
      <c r="C17" s="35">
        <v>7.36</v>
      </c>
      <c r="D17" s="37"/>
      <c r="E17" s="35">
        <v>13.34</v>
      </c>
      <c r="F17" s="35">
        <v>7.36</v>
      </c>
      <c r="H17" s="35">
        <v>7.36</v>
      </c>
    </row>
    <row r="18" spans="1:12" hidden="1" x14ac:dyDescent="0.2">
      <c r="A18" s="38" t="s">
        <v>6</v>
      </c>
      <c r="B18" s="90" t="s">
        <v>46</v>
      </c>
      <c r="C18" s="73"/>
      <c r="D18" s="90" t="s">
        <v>47</v>
      </c>
      <c r="E18" s="72"/>
      <c r="F18" s="73"/>
      <c r="G18" s="90" t="s">
        <v>48</v>
      </c>
      <c r="H18" s="73"/>
      <c r="I18" s="39" t="s">
        <v>49</v>
      </c>
      <c r="J18" s="39" t="s">
        <v>50</v>
      </c>
      <c r="K18" s="40" t="s">
        <v>51</v>
      </c>
    </row>
    <row r="19" spans="1:12" ht="34" hidden="1" x14ac:dyDescent="0.2">
      <c r="A19" s="41" t="s">
        <v>16</v>
      </c>
      <c r="B19" s="13">
        <f>27306664</f>
        <v>27306664</v>
      </c>
      <c r="C19" s="42">
        <f>B19+(B19*$C$17/100)</f>
        <v>29316434.470400002</v>
      </c>
      <c r="D19" s="13">
        <v>4200000</v>
      </c>
      <c r="E19" s="13">
        <f t="shared" ref="E19:E22" si="7">D19+(D19*$E$17/100)</f>
        <v>4760280</v>
      </c>
      <c r="F19" s="42">
        <f t="shared" ref="F19:F22" si="8">E19+(E19*$F$17/100)</f>
        <v>5110636.608</v>
      </c>
      <c r="G19" s="13">
        <v>18000000</v>
      </c>
      <c r="H19" s="42">
        <f t="shared" ref="H19:H22" si="9">G19+(G19*$H$17/100)</f>
        <v>19324800</v>
      </c>
      <c r="I19" s="43">
        <f>(F19+C19+H19)/3</f>
        <v>17917290.359466668</v>
      </c>
      <c r="J19" s="39">
        <v>40</v>
      </c>
      <c r="K19" s="13">
        <f t="shared" ref="K19:K22" si="10">I19*J19</f>
        <v>716691614.37866676</v>
      </c>
    </row>
    <row r="20" spans="1:12" ht="34" hidden="1" x14ac:dyDescent="0.2">
      <c r="A20" s="41" t="s">
        <v>19</v>
      </c>
      <c r="B20" s="24"/>
      <c r="C20" s="44"/>
      <c r="D20" s="13">
        <f>(4700000+2350000)/2</f>
        <v>3525000</v>
      </c>
      <c r="E20" s="13">
        <f t="shared" si="7"/>
        <v>3995235</v>
      </c>
      <c r="F20" s="42">
        <f t="shared" si="8"/>
        <v>4289284.2960000001</v>
      </c>
      <c r="G20" s="13">
        <v>8800000</v>
      </c>
      <c r="H20" s="42">
        <f t="shared" si="9"/>
        <v>9447680</v>
      </c>
      <c r="I20" s="43">
        <f t="shared" ref="I20:I22" si="11">(F20+H20)/2</f>
        <v>6868482.148</v>
      </c>
      <c r="J20" s="39">
        <v>90</v>
      </c>
      <c r="K20" s="13">
        <f t="shared" si="10"/>
        <v>618163393.32000005</v>
      </c>
    </row>
    <row r="21" spans="1:12" ht="34" hidden="1" x14ac:dyDescent="0.2">
      <c r="A21" s="41" t="s">
        <v>22</v>
      </c>
      <c r="B21" s="24"/>
      <c r="C21" s="44"/>
      <c r="D21" s="13">
        <f>(3450000+3700000)/2</f>
        <v>3575000</v>
      </c>
      <c r="E21" s="13">
        <f t="shared" si="7"/>
        <v>4051905</v>
      </c>
      <c r="F21" s="42">
        <f t="shared" si="8"/>
        <v>4350125.2079999996</v>
      </c>
      <c r="G21" s="13">
        <v>24000000</v>
      </c>
      <c r="H21" s="42">
        <f t="shared" si="9"/>
        <v>25766400</v>
      </c>
      <c r="I21" s="43">
        <f t="shared" si="11"/>
        <v>15058262.604</v>
      </c>
      <c r="J21" s="39">
        <v>4</v>
      </c>
      <c r="K21" s="13">
        <f t="shared" si="10"/>
        <v>60233050.416000001</v>
      </c>
    </row>
    <row r="22" spans="1:12" ht="68" hidden="1" x14ac:dyDescent="0.2">
      <c r="A22" s="41" t="s">
        <v>25</v>
      </c>
      <c r="B22" s="24"/>
      <c r="C22" s="44"/>
      <c r="D22" s="13">
        <f>11000000/4</f>
        <v>2750000</v>
      </c>
      <c r="E22" s="13">
        <f t="shared" si="7"/>
        <v>3116850</v>
      </c>
      <c r="F22" s="42">
        <f t="shared" si="8"/>
        <v>3346250.16</v>
      </c>
      <c r="G22" s="13">
        <f>6000000/4</f>
        <v>1500000</v>
      </c>
      <c r="H22" s="42">
        <f t="shared" si="9"/>
        <v>1610400</v>
      </c>
      <c r="I22" s="43">
        <f t="shared" si="11"/>
        <v>2478325.08</v>
      </c>
      <c r="J22" s="39">
        <v>12</v>
      </c>
      <c r="K22" s="13">
        <f t="shared" si="10"/>
        <v>29739900.960000001</v>
      </c>
    </row>
    <row r="23" spans="1:12" hidden="1" x14ac:dyDescent="0.2">
      <c r="A23" s="25"/>
      <c r="B23" s="14">
        <f t="shared" ref="B23:G23" si="12">SUM(B19:B22)</f>
        <v>27306664</v>
      </c>
      <c r="C23" s="43">
        <f t="shared" si="12"/>
        <v>29316434.470400002</v>
      </c>
      <c r="D23" s="14">
        <f t="shared" si="12"/>
        <v>14050000</v>
      </c>
      <c r="E23" s="14">
        <f t="shared" si="12"/>
        <v>15924270</v>
      </c>
      <c r="F23" s="43">
        <f t="shared" si="12"/>
        <v>17096296.272</v>
      </c>
      <c r="G23" s="14">
        <f t="shared" si="12"/>
        <v>52300000</v>
      </c>
      <c r="H23" s="42">
        <f t="shared" ref="H23:I23" si="13">G23+(G23*$C$4/100)</f>
        <v>56149280</v>
      </c>
      <c r="I23" s="43">
        <f t="shared" si="13"/>
        <v>60281867.008000001</v>
      </c>
      <c r="J23" s="14">
        <f t="shared" ref="J23:K23" si="14">SUM(J19:J22)</f>
        <v>146</v>
      </c>
      <c r="K23" s="14">
        <f t="shared" si="14"/>
        <v>1424827959.0746667</v>
      </c>
    </row>
    <row r="24" spans="1:12" hidden="1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14">
        <f>1580000000</f>
        <v>1580000000</v>
      </c>
    </row>
    <row r="25" spans="1:12" hidden="1" x14ac:dyDescent="0.2">
      <c r="K25" s="46">
        <f>K24-K23</f>
        <v>155172040.92533326</v>
      </c>
    </row>
    <row r="29" spans="1:12" x14ac:dyDescent="0.2">
      <c r="A29" s="49" t="s">
        <v>52</v>
      </c>
      <c r="B29" s="50"/>
      <c r="C29" s="50"/>
      <c r="D29" s="51"/>
      <c r="E29" s="51"/>
      <c r="F29" s="51"/>
      <c r="G29" s="51"/>
      <c r="H29" s="51"/>
      <c r="I29" s="51"/>
      <c r="J29" s="51"/>
      <c r="K29" s="51"/>
      <c r="L29" s="51"/>
    </row>
    <row r="30" spans="1:12" x14ac:dyDescent="0.2">
      <c r="A30" s="51"/>
      <c r="B30" s="51"/>
      <c r="C30" s="51" t="s">
        <v>43</v>
      </c>
      <c r="D30" s="51"/>
      <c r="E30" s="51" t="s">
        <v>42</v>
      </c>
      <c r="F30" s="51" t="s">
        <v>43</v>
      </c>
      <c r="G30" s="51"/>
      <c r="H30" s="51" t="s">
        <v>43</v>
      </c>
      <c r="I30" s="51"/>
      <c r="J30" s="51"/>
      <c r="K30" s="51"/>
      <c r="L30" s="51"/>
    </row>
    <row r="31" spans="1:12" x14ac:dyDescent="0.2">
      <c r="A31" s="52"/>
      <c r="B31" s="52"/>
      <c r="C31" s="53">
        <v>7.36</v>
      </c>
      <c r="D31" s="52"/>
      <c r="E31" s="53">
        <v>13.34</v>
      </c>
      <c r="F31" s="53">
        <v>7.36</v>
      </c>
      <c r="G31" s="52"/>
      <c r="H31" s="53">
        <v>7.36</v>
      </c>
      <c r="I31" s="52"/>
      <c r="J31" s="52"/>
      <c r="K31" s="52"/>
      <c r="L31" s="51"/>
    </row>
    <row r="32" spans="1:12" x14ac:dyDescent="0.2">
      <c r="A32" s="54" t="s">
        <v>6</v>
      </c>
      <c r="B32" s="86" t="s">
        <v>46</v>
      </c>
      <c r="C32" s="88"/>
      <c r="D32" s="86" t="s">
        <v>47</v>
      </c>
      <c r="E32" s="87"/>
      <c r="F32" s="88"/>
      <c r="G32" s="89" t="s">
        <v>48</v>
      </c>
      <c r="H32" s="73"/>
      <c r="I32" s="45" t="s">
        <v>53</v>
      </c>
      <c r="J32" s="55" t="s">
        <v>49</v>
      </c>
      <c r="K32" s="56" t="s">
        <v>50</v>
      </c>
      <c r="L32" s="57" t="s">
        <v>51</v>
      </c>
    </row>
    <row r="33" spans="1:12" ht="34" x14ac:dyDescent="0.2">
      <c r="A33" s="58" t="s">
        <v>16</v>
      </c>
      <c r="B33" s="59">
        <f>27306664</f>
        <v>27306664</v>
      </c>
      <c r="C33" s="60">
        <f>B33+(B33*$C$17/100)</f>
        <v>29316434.470400002</v>
      </c>
      <c r="D33" s="59">
        <v>4200000</v>
      </c>
      <c r="E33" s="59">
        <f t="shared" ref="E33:E36" si="15">D33+(D33*$E$17/100)</f>
        <v>4760280</v>
      </c>
      <c r="F33" s="60">
        <f t="shared" ref="F33:F36" si="16">E33+(E33*$F$17/100)</f>
        <v>5110636.608</v>
      </c>
      <c r="G33" s="59">
        <v>18000000</v>
      </c>
      <c r="H33" s="60">
        <f t="shared" ref="H33:H36" si="17">G33+(G33*$H$17/100)</f>
        <v>19324800</v>
      </c>
      <c r="J33" s="61">
        <f>(F33+C33+H33)/3</f>
        <v>17917290.359466668</v>
      </c>
      <c r="K33" s="62">
        <v>38</v>
      </c>
      <c r="L33" s="59">
        <f t="shared" ref="L33:L36" si="18">J33*K33</f>
        <v>680857033.65973341</v>
      </c>
    </row>
    <row r="34" spans="1:12" ht="34" x14ac:dyDescent="0.2">
      <c r="A34" s="58" t="s">
        <v>19</v>
      </c>
      <c r="B34" s="63"/>
      <c r="C34" s="64"/>
      <c r="D34" s="59">
        <f>(4700000+2350000)/2</f>
        <v>3525000</v>
      </c>
      <c r="E34" s="59">
        <f t="shared" si="15"/>
        <v>3995235</v>
      </c>
      <c r="F34" s="60">
        <f t="shared" si="16"/>
        <v>4289284.2960000001</v>
      </c>
      <c r="G34" s="13"/>
      <c r="H34" s="60">
        <f t="shared" si="17"/>
        <v>0</v>
      </c>
      <c r="I34" s="64">
        <v>10000000</v>
      </c>
      <c r="J34" s="61">
        <f>(F34+I34)/2</f>
        <v>7144642.148</v>
      </c>
      <c r="K34" s="62">
        <v>102</v>
      </c>
      <c r="L34" s="59">
        <f t="shared" si="18"/>
        <v>728753499.09599996</v>
      </c>
    </row>
    <row r="35" spans="1:12" ht="34" x14ac:dyDescent="0.2">
      <c r="A35" s="58" t="s">
        <v>22</v>
      </c>
      <c r="B35" s="63"/>
      <c r="C35" s="65"/>
      <c r="D35" s="59">
        <f>(3450000+3700000)/2</f>
        <v>3575000</v>
      </c>
      <c r="E35" s="59">
        <f t="shared" si="15"/>
        <v>4051905</v>
      </c>
      <c r="F35" s="60">
        <f t="shared" si="16"/>
        <v>4350125.2079999996</v>
      </c>
      <c r="G35" s="59">
        <v>12000000</v>
      </c>
      <c r="H35" s="60">
        <f t="shared" si="17"/>
        <v>12883200</v>
      </c>
      <c r="J35" s="61">
        <f t="shared" ref="J35:J36" si="19">(F35+H35)/2</f>
        <v>8616662.6040000003</v>
      </c>
      <c r="K35" s="62">
        <v>4</v>
      </c>
      <c r="L35" s="59">
        <f t="shared" si="18"/>
        <v>34466650.416000001</v>
      </c>
    </row>
    <row r="36" spans="1:12" ht="68" x14ac:dyDescent="0.2">
      <c r="A36" s="58" t="s">
        <v>25</v>
      </c>
      <c r="B36" s="63"/>
      <c r="C36" s="65"/>
      <c r="D36" s="59">
        <f>11000000/4</f>
        <v>2750000</v>
      </c>
      <c r="E36" s="59">
        <f t="shared" si="15"/>
        <v>3116850</v>
      </c>
      <c r="F36" s="60">
        <f t="shared" si="16"/>
        <v>3346250.16</v>
      </c>
      <c r="G36" s="59">
        <f>6000000/4</f>
        <v>1500000</v>
      </c>
      <c r="H36" s="60">
        <f t="shared" si="17"/>
        <v>1610400</v>
      </c>
      <c r="J36" s="61">
        <f t="shared" si="19"/>
        <v>2478325.08</v>
      </c>
      <c r="K36" s="62">
        <v>10</v>
      </c>
      <c r="L36" s="59">
        <f t="shared" si="18"/>
        <v>24783250.800000001</v>
      </c>
    </row>
    <row r="37" spans="1:12" x14ac:dyDescent="0.2">
      <c r="A37" s="66"/>
      <c r="B37" s="67">
        <f t="shared" ref="B37:J37" si="20">SUM(B33:B36)</f>
        <v>27306664</v>
      </c>
      <c r="C37" s="61">
        <f t="shared" si="20"/>
        <v>29316434.470400002</v>
      </c>
      <c r="D37" s="67">
        <f t="shared" si="20"/>
        <v>14050000</v>
      </c>
      <c r="E37" s="67">
        <f t="shared" si="20"/>
        <v>15924270</v>
      </c>
      <c r="F37" s="61">
        <f t="shared" si="20"/>
        <v>17096296.272</v>
      </c>
      <c r="G37" s="67">
        <f t="shared" si="20"/>
        <v>31500000</v>
      </c>
      <c r="H37" s="67">
        <f t="shared" si="20"/>
        <v>33818400</v>
      </c>
      <c r="I37" s="67">
        <f t="shared" si="20"/>
        <v>10000000</v>
      </c>
      <c r="J37" s="67">
        <f t="shared" si="20"/>
        <v>36156920.191466667</v>
      </c>
      <c r="K37" s="67"/>
      <c r="L37" s="67">
        <f>SUM(L33:L36)</f>
        <v>1468860433.9717333</v>
      </c>
    </row>
    <row r="38" spans="1:12" x14ac:dyDescent="0.2">
      <c r="A38" s="66"/>
      <c r="B38" s="63"/>
      <c r="C38" s="63"/>
      <c r="D38" s="63"/>
      <c r="E38" s="63"/>
      <c r="F38" s="63"/>
      <c r="G38" s="63"/>
      <c r="H38" s="63"/>
      <c r="J38" s="63"/>
      <c r="K38" s="63"/>
      <c r="L38" s="67">
        <f>1580000000</f>
        <v>1580000000</v>
      </c>
    </row>
    <row r="39" spans="1:12" x14ac:dyDescent="0.2">
      <c r="A39" s="51"/>
      <c r="B39" s="51"/>
      <c r="C39" s="51"/>
      <c r="D39" s="51"/>
      <c r="E39" s="51"/>
      <c r="F39" s="51"/>
      <c r="G39" s="51"/>
      <c r="H39" s="51"/>
      <c r="J39" s="51"/>
      <c r="K39" s="51"/>
      <c r="L39" s="68">
        <f>L38-L37</f>
        <v>111139566.02826667</v>
      </c>
    </row>
    <row r="40" spans="1:12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</row>
    <row r="41" spans="1:12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</row>
  </sheetData>
  <mergeCells count="9">
    <mergeCell ref="D32:F32"/>
    <mergeCell ref="G32:H32"/>
    <mergeCell ref="B32:C32"/>
    <mergeCell ref="B5:C5"/>
    <mergeCell ref="D5:F5"/>
    <mergeCell ref="G5:H5"/>
    <mergeCell ref="B18:C18"/>
    <mergeCell ref="D18:F18"/>
    <mergeCell ref="G18:H18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Análisis de costos final</vt:lpstr>
      <vt:lpstr>Hoja de trabajo</vt:lpstr>
      <vt:lpstr>'Análisis de costos final'!Área_de_impresión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Edna Cortes</dc:creator>
  <cp:lastModifiedBy>Microsoft Office User</cp:lastModifiedBy>
  <cp:lastPrinted>2024-04-22T19:18:42Z</cp:lastPrinted>
  <dcterms:created xsi:type="dcterms:W3CDTF">2019-06-10T19:26:27Z</dcterms:created>
  <dcterms:modified xsi:type="dcterms:W3CDTF">2024-04-22T19:18:48Z</dcterms:modified>
</cp:coreProperties>
</file>